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Track" sheetId="1" r:id="rId1"/>
    <sheet name="Front End" sheetId="2" r:id="rId2"/>
    <sheet name="Boiler" sheetId="3" r:id="rId3"/>
    <sheet name="Curves" sheetId="4" r:id="rId4"/>
    <sheet name="Traction" sheetId="5" r:id="rId5"/>
  </sheets>
  <definedNames>
    <definedName name="_xlnm.Print_Area" localSheetId="3">'Curves'!$A$1:$G$11</definedName>
    <definedName name="_Regression_Int" localSheetId="2">1</definedName>
    <definedName name="_Regression_Int" localSheetId="3">1</definedName>
    <definedName name="_xlnm.Print_Area" localSheetId="3">'Curves'!$A$1:$G$11</definedName>
    <definedName name="Print_Area_MI" localSheetId="3">'Curves'!$A$1:$G$11</definedName>
    <definedName name="_Regression_Int" localSheetId="4">1</definedName>
  </definedNames>
  <calcPr fullCalcOnLoad="1"/>
</workbook>
</file>

<file path=xl/sharedStrings.xml><?xml version="1.0" encoding="utf-8"?>
<sst xmlns="http://schemas.openxmlformats.org/spreadsheetml/2006/main" count="182" uniqueCount="119">
  <si>
    <t>Ties listed using Nominal Lumber size.</t>
  </si>
  <si>
    <t>2x4=1.5"x3.5"</t>
  </si>
  <si>
    <t>Select distance between ties</t>
  </si>
  <si>
    <t>" Entry Required</t>
  </si>
  <si>
    <t>Tie spacing between centers</t>
  </si>
  <si>
    <t>" Calculated Value</t>
  </si>
  <si>
    <t>Number of ties per 10ft</t>
  </si>
  <si>
    <t>Rounded up</t>
  </si>
  <si>
    <t>Based on ties 2x4x13</t>
  </si>
  <si>
    <t>Track length in feet</t>
  </si>
  <si>
    <t>ft.  Entry Required</t>
  </si>
  <si>
    <t>Number of ties required</t>
  </si>
  <si>
    <t>Calculated Value</t>
  </si>
  <si>
    <t>Number of 2x4x8 studs needed</t>
  </si>
  <si>
    <t>Cost per 2x4x8</t>
  </si>
  <si>
    <t>Enter Cost</t>
  </si>
  <si>
    <t>Total</t>
  </si>
  <si>
    <t>Number tie plates required</t>
  </si>
  <si>
    <t>Cost per tie plate</t>
  </si>
  <si>
    <t>Total cost</t>
  </si>
  <si>
    <t>Enter Grate Area</t>
  </si>
  <si>
    <t>sq. inches</t>
  </si>
  <si>
    <t xml:space="preserve">All results inches or sq. inches </t>
  </si>
  <si>
    <t>Choke Area</t>
  </si>
  <si>
    <t>Choke/Grate Ratio .025</t>
  </si>
  <si>
    <t>Choke/Grate Ratio .040</t>
  </si>
  <si>
    <t>Nozzle Area</t>
  </si>
  <si>
    <t>Nozzle/Choke Ratio .11</t>
  </si>
  <si>
    <t>Nozzle/Choke Ratio .13</t>
  </si>
  <si>
    <t>Nozzle Dia.</t>
  </si>
  <si>
    <t>Choke Dia.</t>
  </si>
  <si>
    <t>Bell Flare Rad = Choke Dia</t>
  </si>
  <si>
    <t>Bell Flare Dia</t>
  </si>
  <si>
    <t>1.8xChoke Dia</t>
  </si>
  <si>
    <t>2xChoke Dia</t>
  </si>
  <si>
    <t>Stack Height min. 2xChoke Dia</t>
  </si>
  <si>
    <t>Nozzle to Choke dist</t>
  </si>
  <si>
    <t>2.2xChoke Dia</t>
  </si>
  <si>
    <t>2.5xChoke Dia</t>
  </si>
  <si>
    <t>Stack Taper 2 Degree Per side</t>
  </si>
  <si>
    <t>Boiler Calculations  Enter the following information.</t>
  </si>
  <si>
    <t>Enter desired operating psi</t>
  </si>
  <si>
    <t>psi</t>
  </si>
  <si>
    <t>Wall Thickness</t>
  </si>
  <si>
    <t xml:space="preserve">Outside DIA </t>
  </si>
  <si>
    <t>inches</t>
  </si>
  <si>
    <t>Outside Radius calculated</t>
  </si>
  <si>
    <t>Firebox Sheet</t>
  </si>
  <si>
    <t>Staybolt dia. Root if threaded</t>
  </si>
  <si>
    <t>Cross section Area Square inches</t>
  </si>
  <si>
    <t>Staybolt Pitch (larger dimension if not square)</t>
  </si>
  <si>
    <t>Staybolt Spacing V</t>
  </si>
  <si>
    <t>Staybolt Spacing H</t>
  </si>
  <si>
    <t>Carbon Steel</t>
  </si>
  <si>
    <t>Copper 120psi max</t>
  </si>
  <si>
    <t>Code factor 4   12,500psi Allowable working stress</t>
  </si>
  <si>
    <t>Code factor 5 at 331 degrees 4,300psi working stress max</t>
  </si>
  <si>
    <t>Max working Pressure Boiler Shell</t>
  </si>
  <si>
    <t>Seamless</t>
  </si>
  <si>
    <t>Welded</t>
  </si>
  <si>
    <t>Max working Pressure Stayed Surfaces</t>
  </si>
  <si>
    <t>Welded or Silver Soldered no heads</t>
  </si>
  <si>
    <t>Welded or Silver Soldered with heads</t>
  </si>
  <si>
    <t>Max pressure Staybolts</t>
  </si>
  <si>
    <t>Calculated factor of safety (CFS)    =&gt;4</t>
  </si>
  <si>
    <t>Calculated factor of safety (CFS)   =&gt;5</t>
  </si>
  <si>
    <t>Boiler Shell Seamless</t>
  </si>
  <si>
    <t>CFS</t>
  </si>
  <si>
    <t>Boiler Shell Welded</t>
  </si>
  <si>
    <t>Stayed Surface no Heads</t>
  </si>
  <si>
    <t>Stayed Surface with heads</t>
  </si>
  <si>
    <t>Staybolts</t>
  </si>
  <si>
    <t>Formula to find the degree of a curve or the radius of a curve and the Versine</t>
  </si>
  <si>
    <t>Enter degrees</t>
  </si>
  <si>
    <t>Enter Radius in ft.</t>
  </si>
  <si>
    <t>Entered Radius used for calculation</t>
  </si>
  <si>
    <t>Inchs</t>
  </si>
  <si>
    <t>Full size</t>
  </si>
  <si>
    <t>Radius =</t>
  </si>
  <si>
    <t>ft</t>
  </si>
  <si>
    <t>Degrees =</t>
  </si>
  <si>
    <t>Versine =</t>
  </si>
  <si>
    <t>Scale 1/8</t>
  </si>
  <si>
    <t>Versine for 10ft section 1/8 scale =</t>
  </si>
  <si>
    <t>For every 100ft forward or 12.5ft forward how many degrees are covered</t>
  </si>
  <si>
    <t>The Versine is the distance from the edge of the curve to a line drawn across it</t>
  </si>
  <si>
    <t>Based on 100 ft refference for full size and 12.5 ft for scale</t>
  </si>
  <si>
    <t>Boiler PSI</t>
  </si>
  <si>
    <t>Cylinder DIA</t>
  </si>
  <si>
    <t>Stroke in inches</t>
  </si>
  <si>
    <t>Drive Wheel DIA in inches</t>
  </si>
  <si>
    <t>Enter values to the left</t>
  </si>
  <si>
    <t>Traction effort for 2 cyl</t>
  </si>
  <si>
    <t>lbs</t>
  </si>
  <si>
    <t>Based on 85% Cutoff</t>
  </si>
  <si>
    <t>Traction effort for 4 cyl</t>
  </si>
  <si>
    <t>Ideal weight on Drivers for adhesion factor of 4</t>
  </si>
  <si>
    <t>for 2 cylinders</t>
  </si>
  <si>
    <t>for 4 cylinders</t>
  </si>
  <si>
    <t>NOTE: Several clubs place a 300lb per axle limit</t>
  </si>
  <si>
    <t>Enter actual weight on drivers</t>
  </si>
  <si>
    <t>Max train weight including engine based on 7.5lbs of TE to move 1 ton on level, straight track</t>
  </si>
  <si>
    <t>Rough Estimate of car weight   Pullman type 300lbs  Average Adult 150lbs  4 Adults + car = 900lbs</t>
  </si>
  <si>
    <t>On level track</t>
  </si>
  <si>
    <t>1/2%</t>
  </si>
  <si>
    <t>1%</t>
  </si>
  <si>
    <t>1-1/2%</t>
  </si>
  <si>
    <t>2%</t>
  </si>
  <si>
    <t>2-1/2%</t>
  </si>
  <si>
    <t>3%</t>
  </si>
  <si>
    <t>Grade</t>
  </si>
  <si>
    <t>For 2 cylinders</t>
  </si>
  <si>
    <t>tons</t>
  </si>
  <si>
    <t>Number of cars</t>
  </si>
  <si>
    <t>cars</t>
  </si>
  <si>
    <t>For  4 cylinders</t>
  </si>
  <si>
    <t>Based on actual weight</t>
  </si>
  <si>
    <t>on drivers</t>
  </si>
  <si>
    <t>Traction Effort and Max load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</si>
</sst>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"/>
    <numFmt numFmtId="166" formatCode="\$#."/>
    <numFmt numFmtId="167" formatCode="GENERAL"/>
    <numFmt numFmtId="168" formatCode="#.00"/>
    <numFmt numFmtId="169" formatCode="0"/>
    <numFmt numFmtId="170" formatCode="#,##0"/>
    <numFmt numFmtId="171" formatCode="\$#,##0.00\ ;&quot;($&quot;#,##0.00\)"/>
    <numFmt numFmtId="172" formatCode="0.00"/>
  </numFmts>
  <fonts count="15">
    <font>
      <sz val="10"/>
      <name val="Arial"/>
      <family val="2"/>
    </font>
    <font>
      <sz val="1"/>
      <color indexed="8"/>
      <name val="Courier New"/>
      <family val="3"/>
    </font>
    <font>
      <sz val="10"/>
      <color indexed="2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ourier New"/>
      <family val="3"/>
    </font>
    <font>
      <b/>
      <sz val="9"/>
      <color indexed="8"/>
      <name val="Times New Roman"/>
      <family val="1"/>
    </font>
    <font>
      <b/>
      <sz val="9"/>
      <name val="Courier New"/>
      <family val="3"/>
    </font>
    <font>
      <b/>
      <sz val="10"/>
      <color indexed="13"/>
      <name val="Times New Roman"/>
      <family val="1"/>
    </font>
    <font>
      <b/>
      <sz val="14"/>
      <color indexed="8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>
      <alignment/>
      <protection locked="0"/>
    </xf>
    <xf numFmtId="166" fontId="1" fillId="0" borderId="0">
      <alignment/>
      <protection locked="0"/>
    </xf>
    <xf numFmtId="164" fontId="1" fillId="0" borderId="0">
      <alignment/>
      <protection locked="0"/>
    </xf>
    <xf numFmtId="168" fontId="1" fillId="0" borderId="0">
      <alignment/>
      <protection locked="0"/>
    </xf>
    <xf numFmtId="164" fontId="0" fillId="0" borderId="0">
      <alignment/>
      <protection/>
    </xf>
    <xf numFmtId="164" fontId="2" fillId="0" borderId="0">
      <alignment/>
      <protection/>
    </xf>
  </cellStyleXfs>
  <cellXfs count="72">
    <xf numFmtId="164" fontId="0" fillId="0" borderId="0" xfId="0" applyAlignment="1">
      <alignment/>
    </xf>
    <xf numFmtId="164" fontId="2" fillId="0" borderId="0" xfId="25">
      <alignment/>
      <protection/>
    </xf>
    <xf numFmtId="164" fontId="3" fillId="2" borderId="0" xfId="25" applyFont="1" applyFill="1">
      <alignment/>
      <protection/>
    </xf>
    <xf numFmtId="164" fontId="3" fillId="3" borderId="1" xfId="25" applyFont="1" applyFill="1" applyBorder="1">
      <alignment/>
      <protection/>
    </xf>
    <xf numFmtId="164" fontId="3" fillId="3" borderId="0" xfId="25" applyFont="1" applyFill="1">
      <alignment/>
      <protection/>
    </xf>
    <xf numFmtId="164" fontId="4" fillId="4" borderId="1" xfId="25" applyFont="1" applyFill="1" applyBorder="1">
      <alignment/>
      <protection/>
    </xf>
    <xf numFmtId="164" fontId="3" fillId="4" borderId="0" xfId="25" applyFont="1" applyFill="1">
      <alignment/>
      <protection/>
    </xf>
    <xf numFmtId="169" fontId="4" fillId="4" borderId="1" xfId="25" applyNumberFormat="1" applyFont="1" applyFill="1" applyBorder="1">
      <alignment/>
      <protection/>
    </xf>
    <xf numFmtId="170" fontId="3" fillId="3" borderId="1" xfId="25" applyNumberFormat="1" applyFont="1" applyFill="1" applyBorder="1">
      <alignment/>
      <protection/>
    </xf>
    <xf numFmtId="170" fontId="4" fillId="4" borderId="1" xfId="25" applyNumberFormat="1" applyFont="1" applyFill="1" applyBorder="1">
      <alignment/>
      <protection/>
    </xf>
    <xf numFmtId="171" fontId="5" fillId="5" borderId="0" xfId="25" applyNumberFormat="1" applyFont="1" applyFill="1">
      <alignment/>
      <protection/>
    </xf>
    <xf numFmtId="164" fontId="3" fillId="5" borderId="0" xfId="25" applyFont="1" applyFill="1">
      <alignment/>
      <protection/>
    </xf>
    <xf numFmtId="164" fontId="0" fillId="0" borderId="0" xfId="24">
      <alignment/>
      <protection/>
    </xf>
    <xf numFmtId="164" fontId="6" fillId="6" borderId="0" xfId="24" applyFont="1" applyFill="1">
      <alignment/>
      <protection/>
    </xf>
    <xf numFmtId="164" fontId="6" fillId="5" borderId="1" xfId="24" applyFont="1" applyFill="1" applyBorder="1">
      <alignment/>
      <protection/>
    </xf>
    <xf numFmtId="164" fontId="6" fillId="0" borderId="0" xfId="24" applyFont="1">
      <alignment/>
      <protection/>
    </xf>
    <xf numFmtId="164" fontId="7" fillId="7" borderId="0" xfId="24" applyFont="1" applyFill="1">
      <alignment/>
      <protection/>
    </xf>
    <xf numFmtId="164" fontId="6" fillId="3" borderId="1" xfId="24" applyFont="1" applyFill="1" applyBorder="1">
      <alignment/>
      <protection/>
    </xf>
    <xf numFmtId="164" fontId="0" fillId="6" borderId="0" xfId="0" applyFill="1" applyAlignment="1">
      <alignment/>
    </xf>
    <xf numFmtId="164" fontId="8" fillId="6" borderId="1" xfId="0" applyFont="1" applyFill="1" applyBorder="1" applyAlignment="1" applyProtection="1">
      <alignment/>
      <protection/>
    </xf>
    <xf numFmtId="164" fontId="9" fillId="6" borderId="1" xfId="0" applyFont="1" applyFill="1" applyBorder="1" applyAlignment="1" applyProtection="1">
      <alignment/>
      <protection/>
    </xf>
    <xf numFmtId="164" fontId="9" fillId="6" borderId="1" xfId="0" applyFont="1" applyFill="1" applyBorder="1" applyAlignment="1" applyProtection="1">
      <alignment/>
      <protection/>
    </xf>
    <xf numFmtId="164" fontId="9" fillId="5" borderId="1" xfId="0" applyFont="1" applyFill="1" applyBorder="1" applyAlignment="1" applyProtection="1">
      <alignment/>
      <protection/>
    </xf>
    <xf numFmtId="164" fontId="6" fillId="6" borderId="1" xfId="0" applyFont="1" applyFill="1" applyBorder="1" applyAlignment="1">
      <alignment/>
    </xf>
    <xf numFmtId="164" fontId="6" fillId="5" borderId="1" xfId="0" applyNumberFormat="1" applyFont="1" applyFill="1" applyBorder="1" applyAlignment="1">
      <alignment/>
    </xf>
    <xf numFmtId="164" fontId="0" fillId="6" borderId="1" xfId="0" applyFill="1" applyBorder="1" applyAlignment="1">
      <alignment/>
    </xf>
    <xf numFmtId="164" fontId="9" fillId="3" borderId="1" xfId="0" applyFont="1" applyFill="1" applyBorder="1" applyAlignment="1" applyProtection="1">
      <alignment/>
      <protection/>
    </xf>
    <xf numFmtId="164" fontId="8" fillId="8" borderId="1" xfId="0" applyFont="1" applyFill="1" applyBorder="1" applyAlignment="1" applyProtection="1">
      <alignment/>
      <protection/>
    </xf>
    <xf numFmtId="164" fontId="9" fillId="8" borderId="1" xfId="0" applyFont="1" applyFill="1" applyBorder="1" applyAlignment="1" applyProtection="1">
      <alignment/>
      <protection/>
    </xf>
    <xf numFmtId="164" fontId="8" fillId="9" borderId="1" xfId="0" applyFont="1" applyFill="1" applyBorder="1" applyAlignment="1" applyProtection="1">
      <alignment/>
      <protection/>
    </xf>
    <xf numFmtId="164" fontId="9" fillId="9" borderId="1" xfId="0" applyFont="1" applyFill="1" applyBorder="1" applyAlignment="1" applyProtection="1">
      <alignment/>
      <protection/>
    </xf>
    <xf numFmtId="164" fontId="0" fillId="8" borderId="1" xfId="0" applyFill="1" applyBorder="1" applyAlignment="1">
      <alignment/>
    </xf>
    <xf numFmtId="164" fontId="9" fillId="8" borderId="1" xfId="0" applyFont="1" applyFill="1" applyBorder="1" applyAlignment="1" applyProtection="1">
      <alignment/>
      <protection/>
    </xf>
    <xf numFmtId="164" fontId="0" fillId="9" borderId="1" xfId="0" applyFill="1" applyBorder="1" applyAlignment="1">
      <alignment/>
    </xf>
    <xf numFmtId="164" fontId="9" fillId="9" borderId="1" xfId="0" applyFont="1" applyFill="1" applyBorder="1" applyAlignment="1" applyProtection="1">
      <alignment/>
      <protection/>
    </xf>
    <xf numFmtId="164" fontId="9" fillId="5" borderId="1" xfId="0" applyFont="1" applyFill="1" applyBorder="1" applyAlignment="1" applyProtection="1">
      <alignment/>
      <protection/>
    </xf>
    <xf numFmtId="164" fontId="9" fillId="5" borderId="1" xfId="0" applyFont="1" applyFill="1" applyBorder="1" applyAlignment="1" applyProtection="1">
      <alignment horizontal="center"/>
      <protection/>
    </xf>
    <xf numFmtId="164" fontId="9" fillId="5" borderId="1" xfId="0" applyFont="1" applyFill="1" applyBorder="1" applyAlignment="1" applyProtection="1">
      <alignment horizontal="left"/>
      <protection/>
    </xf>
    <xf numFmtId="164" fontId="6" fillId="5" borderId="1" xfId="0" applyFont="1" applyFill="1" applyBorder="1" applyAlignment="1">
      <alignment/>
    </xf>
    <xf numFmtId="164" fontId="9" fillId="4" borderId="1" xfId="0" applyFont="1" applyFill="1" applyBorder="1" applyAlignment="1" applyProtection="1">
      <alignment/>
      <protection/>
    </xf>
    <xf numFmtId="164" fontId="8" fillId="4" borderId="1" xfId="0" applyFont="1" applyFill="1" applyBorder="1" applyAlignment="1" applyProtection="1">
      <alignment/>
      <protection/>
    </xf>
    <xf numFmtId="164" fontId="9" fillId="9" borderId="1" xfId="0" applyFont="1" applyFill="1" applyBorder="1" applyAlignment="1" applyProtection="1">
      <alignment horizontal="center"/>
      <protection/>
    </xf>
    <xf numFmtId="164" fontId="6" fillId="9" borderId="1" xfId="0" applyFont="1" applyFill="1" applyBorder="1" applyAlignment="1">
      <alignment/>
    </xf>
    <xf numFmtId="164" fontId="0" fillId="0" borderId="0" xfId="0" applyAlignment="1" applyProtection="1">
      <alignment/>
      <protection/>
    </xf>
    <xf numFmtId="164" fontId="10" fillId="6" borderId="1" xfId="0" applyFont="1" applyFill="1" applyBorder="1" applyAlignment="1" applyProtection="1">
      <alignment/>
      <protection/>
    </xf>
    <xf numFmtId="164" fontId="11" fillId="6" borderId="1" xfId="0" applyFont="1" applyFill="1" applyBorder="1" applyAlignment="1" applyProtection="1">
      <alignment/>
      <protection/>
    </xf>
    <xf numFmtId="164" fontId="11" fillId="6" borderId="1" xfId="0" applyFont="1" applyFill="1" applyBorder="1" applyAlignment="1" applyProtection="1">
      <alignment/>
      <protection/>
    </xf>
    <xf numFmtId="164" fontId="12" fillId="0" borderId="0" xfId="0" applyFont="1" applyAlignment="1">
      <alignment/>
    </xf>
    <xf numFmtId="164" fontId="9" fillId="4" borderId="1" xfId="0" applyFont="1" applyFill="1" applyBorder="1" applyAlignment="1" applyProtection="1">
      <alignment/>
      <protection/>
    </xf>
    <xf numFmtId="164" fontId="9" fillId="4" borderId="1" xfId="0" applyFont="1" applyFill="1" applyBorder="1" applyAlignment="1" applyProtection="1">
      <alignment horizontal="left"/>
      <protection/>
    </xf>
    <xf numFmtId="164" fontId="9" fillId="10" borderId="1" xfId="0" applyFont="1" applyFill="1" applyBorder="1" applyAlignment="1" applyProtection="1">
      <alignment/>
      <protection/>
    </xf>
    <xf numFmtId="164" fontId="9" fillId="10" borderId="1" xfId="0" applyFont="1" applyFill="1" applyBorder="1" applyAlignment="1" applyProtection="1">
      <alignment/>
      <protection/>
    </xf>
    <xf numFmtId="164" fontId="9" fillId="10" borderId="1" xfId="0" applyFont="1" applyFill="1" applyBorder="1" applyAlignment="1" applyProtection="1">
      <alignment horizontal="left"/>
      <protection/>
    </xf>
    <xf numFmtId="164" fontId="13" fillId="7" borderId="1" xfId="0" applyFont="1" applyFill="1" applyBorder="1" applyAlignment="1" applyProtection="1">
      <alignment/>
      <protection/>
    </xf>
    <xf numFmtId="164" fontId="9" fillId="7" borderId="1" xfId="0" applyFont="1" applyFill="1" applyBorder="1" applyAlignment="1" applyProtection="1">
      <alignment/>
      <protection/>
    </xf>
    <xf numFmtId="164" fontId="7" fillId="9" borderId="0" xfId="0" applyFont="1" applyFill="1" applyAlignment="1">
      <alignment/>
    </xf>
    <xf numFmtId="164" fontId="9" fillId="6" borderId="1" xfId="0" applyFont="1" applyFill="1" applyBorder="1" applyAlignment="1" applyProtection="1">
      <alignment horizontal="center"/>
      <protection/>
    </xf>
    <xf numFmtId="164" fontId="9" fillId="4" borderId="2" xfId="0" applyFont="1" applyFill="1" applyBorder="1" applyAlignment="1" applyProtection="1">
      <alignment/>
      <protection/>
    </xf>
    <xf numFmtId="172" fontId="9" fillId="4" borderId="2" xfId="0" applyNumberFormat="1" applyFont="1" applyFill="1" applyBorder="1" applyAlignment="1" applyProtection="1">
      <alignment horizontal="center"/>
      <protection/>
    </xf>
    <xf numFmtId="164" fontId="9" fillId="4" borderId="2" xfId="0" applyFont="1" applyFill="1" applyBorder="1" applyAlignment="1" applyProtection="1">
      <alignment horizontal="left"/>
      <protection/>
    </xf>
    <xf numFmtId="164" fontId="6" fillId="4" borderId="1" xfId="0" applyFont="1" applyFill="1" applyBorder="1" applyAlignment="1">
      <alignment horizontal="left"/>
    </xf>
    <xf numFmtId="164" fontId="6" fillId="4" borderId="1" xfId="0" applyFont="1" applyFill="1" applyBorder="1" applyAlignment="1">
      <alignment horizontal="center"/>
    </xf>
    <xf numFmtId="164" fontId="6" fillId="6" borderId="1" xfId="0" applyFont="1" applyFill="1" applyBorder="1" applyAlignment="1">
      <alignment horizontal="center"/>
    </xf>
    <xf numFmtId="164" fontId="9" fillId="10" borderId="3" xfId="0" applyFont="1" applyFill="1" applyBorder="1" applyAlignment="1" applyProtection="1">
      <alignment/>
      <protection/>
    </xf>
    <xf numFmtId="172" fontId="9" fillId="10" borderId="3" xfId="0" applyNumberFormat="1" applyFont="1" applyFill="1" applyBorder="1" applyAlignment="1" applyProtection="1">
      <alignment horizontal="center"/>
      <protection/>
    </xf>
    <xf numFmtId="164" fontId="9" fillId="10" borderId="3" xfId="0" applyFont="1" applyFill="1" applyBorder="1" applyAlignment="1" applyProtection="1">
      <alignment horizontal="left"/>
      <protection/>
    </xf>
    <xf numFmtId="164" fontId="9" fillId="10" borderId="1" xfId="0" applyFont="1" applyFill="1" applyBorder="1" applyAlignment="1" applyProtection="1">
      <alignment horizontal="center"/>
      <protection/>
    </xf>
    <xf numFmtId="172" fontId="9" fillId="9" borderId="1" xfId="0" applyNumberFormat="1" applyFont="1" applyFill="1" applyBorder="1" applyAlignment="1" applyProtection="1">
      <alignment horizontal="center"/>
      <protection/>
    </xf>
    <xf numFmtId="164" fontId="9" fillId="9" borderId="1" xfId="0" applyFont="1" applyFill="1" applyBorder="1" applyAlignment="1" applyProtection="1">
      <alignment horizontal="left"/>
      <protection/>
    </xf>
    <xf numFmtId="164" fontId="6" fillId="9" borderId="0" xfId="0" applyFont="1" applyFill="1" applyAlignment="1">
      <alignment horizontal="center"/>
    </xf>
    <xf numFmtId="164" fontId="14" fillId="6" borderId="1" xfId="0" applyFont="1" applyFill="1" applyBorder="1" applyAlignment="1" applyProtection="1">
      <alignment/>
      <protection/>
    </xf>
    <xf numFmtId="164" fontId="10" fillId="11" borderId="0" xfId="0" applyFont="1" applyFill="1" applyAlignment="1" applyProtection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0" xfId="20"/>
    <cellStyle name="Currency0" xfId="21"/>
    <cellStyle name="Date" xfId="22"/>
    <cellStyle name="Fixed" xfId="23"/>
    <cellStyle name="Normal_frontend" xfId="24"/>
    <cellStyle name="Normal_Trac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H2" sqref="H2"/>
    </sheetView>
  </sheetViews>
  <sheetFormatPr defaultColWidth="10.28125" defaultRowHeight="12.75"/>
  <cols>
    <col min="1" max="3" width="9.7109375" style="1" customWidth="1"/>
    <col min="4" max="4" width="13.8515625" style="1" customWidth="1"/>
    <col min="5" max="5" width="11.8515625" style="1" customWidth="1"/>
    <col min="6" max="16384" width="9.7109375" style="1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" t="s">
        <v>2</v>
      </c>
      <c r="B4" s="2"/>
      <c r="C4" s="2"/>
      <c r="D4" s="3"/>
      <c r="E4" s="4" t="s">
        <v>3</v>
      </c>
      <c r="F4" s="4"/>
    </row>
    <row r="5" spans="1:6" ht="12.75">
      <c r="A5" s="2" t="s">
        <v>4</v>
      </c>
      <c r="B5" s="2"/>
      <c r="C5" s="2"/>
      <c r="D5" s="5">
        <f>D4+1.5</f>
        <v>1.5</v>
      </c>
      <c r="E5" s="6" t="s">
        <v>5</v>
      </c>
      <c r="F5" s="6"/>
    </row>
    <row r="6" spans="1:6" ht="12.75">
      <c r="A6" s="2" t="s">
        <v>6</v>
      </c>
      <c r="B6" s="2"/>
      <c r="C6" s="2"/>
      <c r="D6" s="7">
        <f>CEILING(120/D5,1)</f>
        <v>80</v>
      </c>
      <c r="E6" s="6" t="s">
        <v>7</v>
      </c>
      <c r="F6" s="6"/>
    </row>
    <row r="7" spans="1:6" ht="12.75">
      <c r="A7" s="2" t="s">
        <v>8</v>
      </c>
      <c r="B7" s="2"/>
      <c r="C7" s="2"/>
      <c r="D7" s="2"/>
      <c r="E7" s="2"/>
      <c r="F7" s="2"/>
    </row>
    <row r="8" spans="1:6" ht="12.75">
      <c r="A8" s="2" t="s">
        <v>9</v>
      </c>
      <c r="B8" s="2"/>
      <c r="C8" s="2"/>
      <c r="D8" s="8"/>
      <c r="E8" s="4" t="s">
        <v>10</v>
      </c>
      <c r="F8" s="4"/>
    </row>
    <row r="9" spans="1:6" ht="12.75">
      <c r="A9" s="2" t="s">
        <v>11</v>
      </c>
      <c r="B9" s="2"/>
      <c r="C9" s="2"/>
      <c r="D9" s="9">
        <f>(D8/10)*D6</f>
        <v>0</v>
      </c>
      <c r="E9" s="6" t="s">
        <v>12</v>
      </c>
      <c r="F9" s="6"/>
    </row>
    <row r="10" spans="1:6" ht="12.75">
      <c r="A10" s="2" t="s">
        <v>13</v>
      </c>
      <c r="B10" s="2"/>
      <c r="C10" s="2"/>
      <c r="D10" s="9">
        <f>CEILING(D9/7,1)</f>
        <v>0</v>
      </c>
      <c r="E10" s="6" t="s">
        <v>12</v>
      </c>
      <c r="F10" s="6"/>
    </row>
    <row r="11" spans="1:6" ht="12.75">
      <c r="A11" s="2"/>
      <c r="B11" s="2"/>
      <c r="C11" s="2"/>
      <c r="D11" s="2"/>
      <c r="E11" s="2"/>
      <c r="F11" s="2"/>
    </row>
    <row r="12" spans="1:6" ht="12.75">
      <c r="A12" s="2" t="s">
        <v>14</v>
      </c>
      <c r="B12" s="2"/>
      <c r="C12" s="4" t="s">
        <v>15</v>
      </c>
      <c r="D12" s="3"/>
      <c r="E12" s="10">
        <f>D12*D10</f>
        <v>0</v>
      </c>
      <c r="F12" s="11" t="s">
        <v>16</v>
      </c>
    </row>
    <row r="13" spans="1:6" ht="12.75">
      <c r="A13" s="2"/>
      <c r="B13" s="2"/>
      <c r="C13" s="2"/>
      <c r="D13" s="2"/>
      <c r="E13" s="2"/>
      <c r="F13" s="2"/>
    </row>
    <row r="14" spans="1:6" ht="12.75">
      <c r="A14" s="2" t="s">
        <v>17</v>
      </c>
      <c r="B14" s="2"/>
      <c r="C14" s="2"/>
      <c r="D14" s="5">
        <f>D9*2</f>
        <v>0</v>
      </c>
      <c r="E14" s="6" t="s">
        <v>12</v>
      </c>
      <c r="F14" s="6"/>
    </row>
    <row r="15" spans="1:6" ht="12.75">
      <c r="A15" s="2" t="s">
        <v>18</v>
      </c>
      <c r="B15" s="2"/>
      <c r="C15" s="4" t="s">
        <v>15</v>
      </c>
      <c r="D15" s="3">
        <v>0</v>
      </c>
      <c r="E15" s="10">
        <f>D15*D14</f>
        <v>0</v>
      </c>
      <c r="F15" s="11" t="s">
        <v>16</v>
      </c>
    </row>
    <row r="16" spans="1:6" ht="12.75">
      <c r="A16" s="2"/>
      <c r="B16" s="2"/>
      <c r="C16" s="2"/>
      <c r="D16" s="2"/>
      <c r="E16" s="2"/>
      <c r="F16" s="2"/>
    </row>
    <row r="17" spans="1:6" ht="12.75">
      <c r="A17" s="2" t="s">
        <v>19</v>
      </c>
      <c r="B17" s="2"/>
      <c r="C17" s="2"/>
      <c r="D17" s="2"/>
      <c r="E17" s="10">
        <f>E12+E15</f>
        <v>0</v>
      </c>
      <c r="F17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C1" sqref="C1"/>
    </sheetView>
  </sheetViews>
  <sheetFormatPr defaultColWidth="9.140625" defaultRowHeight="12.75"/>
  <cols>
    <col min="1" max="3" width="8.7109375" style="12" customWidth="1"/>
    <col min="4" max="4" width="10.421875" style="12" customWidth="1"/>
    <col min="5" max="16384" width="8.7109375" style="12" customWidth="1"/>
  </cols>
  <sheetData>
    <row r="1" spans="1:12" ht="12.75">
      <c r="A1" s="13" t="s">
        <v>20</v>
      </c>
      <c r="B1" s="13"/>
      <c r="C1" s="14"/>
      <c r="D1" s="13" t="s">
        <v>21</v>
      </c>
      <c r="E1" s="13"/>
      <c r="F1" s="13"/>
      <c r="G1" s="13"/>
      <c r="H1" s="13"/>
      <c r="I1" s="15"/>
      <c r="J1" s="15"/>
      <c r="K1" s="15"/>
      <c r="L1" s="15"/>
    </row>
    <row r="2" spans="1:12" ht="12.75">
      <c r="A2" s="13"/>
      <c r="B2" s="13"/>
      <c r="C2" s="13"/>
      <c r="D2" s="13"/>
      <c r="E2" s="13"/>
      <c r="F2" s="16" t="s">
        <v>22</v>
      </c>
      <c r="G2" s="16"/>
      <c r="H2" s="16"/>
      <c r="I2" s="15"/>
      <c r="J2" s="15"/>
      <c r="K2" s="15"/>
      <c r="L2" s="15"/>
    </row>
    <row r="3" spans="1:12" ht="12.75">
      <c r="A3" s="13" t="s">
        <v>23</v>
      </c>
      <c r="B3" s="13"/>
      <c r="C3" s="13" t="s">
        <v>24</v>
      </c>
      <c r="D3" s="13"/>
      <c r="E3" s="17">
        <f>C1*0.025</f>
        <v>0</v>
      </c>
      <c r="F3" s="13" t="s">
        <v>25</v>
      </c>
      <c r="G3" s="13"/>
      <c r="H3" s="17">
        <f>C1*0.04</f>
        <v>0</v>
      </c>
      <c r="I3" s="15"/>
      <c r="J3" s="15"/>
      <c r="K3" s="15"/>
      <c r="L3" s="15"/>
    </row>
    <row r="4" spans="1:12" ht="12.75">
      <c r="A4" s="13" t="s">
        <v>26</v>
      </c>
      <c r="B4" s="13"/>
      <c r="C4" s="13" t="s">
        <v>27</v>
      </c>
      <c r="D4" s="13"/>
      <c r="E4" s="17">
        <f>E3*0.11</f>
        <v>0</v>
      </c>
      <c r="F4" s="13" t="s">
        <v>28</v>
      </c>
      <c r="G4" s="13"/>
      <c r="H4" s="17">
        <f>E3*0.13</f>
        <v>0</v>
      </c>
      <c r="I4" s="15"/>
      <c r="J4" s="15"/>
      <c r="K4" s="15"/>
      <c r="L4" s="15"/>
    </row>
    <row r="5" spans="1:12" ht="12.75">
      <c r="A5" s="13" t="s">
        <v>29</v>
      </c>
      <c r="B5" s="13"/>
      <c r="C5" s="13"/>
      <c r="D5" s="13"/>
      <c r="E5" s="17">
        <f>(SQRT(E4/3.1416))*2</f>
        <v>0</v>
      </c>
      <c r="F5" s="13"/>
      <c r="G5" s="13"/>
      <c r="H5" s="17">
        <f>(SQRT(H4/3.1416))*2</f>
        <v>0</v>
      </c>
      <c r="I5" s="15"/>
      <c r="J5" s="15"/>
      <c r="K5" s="15"/>
      <c r="L5" s="15"/>
    </row>
    <row r="6" spans="1:12" ht="12.75">
      <c r="A6" s="13" t="s">
        <v>30</v>
      </c>
      <c r="B6" s="13"/>
      <c r="C6" s="13"/>
      <c r="D6" s="13"/>
      <c r="E6" s="17">
        <f>(SQRT(E3/3.1416))*2</f>
        <v>0</v>
      </c>
      <c r="F6" s="13"/>
      <c r="G6" s="13"/>
      <c r="H6" s="17">
        <f>(SQRT(H3/3.1416))*2</f>
        <v>0</v>
      </c>
      <c r="I6" s="15"/>
      <c r="J6" s="15"/>
      <c r="K6" s="15"/>
      <c r="L6" s="15"/>
    </row>
    <row r="7" spans="1:12" ht="12.75">
      <c r="A7" s="13" t="s">
        <v>31</v>
      </c>
      <c r="B7" s="13"/>
      <c r="C7" s="13"/>
      <c r="D7" s="13"/>
      <c r="E7" s="17">
        <f>E6</f>
        <v>0</v>
      </c>
      <c r="F7" s="13"/>
      <c r="G7" s="13"/>
      <c r="H7" s="17">
        <f>H6</f>
        <v>0</v>
      </c>
      <c r="I7" s="15"/>
      <c r="J7" s="15"/>
      <c r="K7" s="15"/>
      <c r="L7" s="15"/>
    </row>
    <row r="8" spans="1:12" ht="12.75">
      <c r="A8" s="13" t="s">
        <v>32</v>
      </c>
      <c r="B8" s="13"/>
      <c r="C8" s="13" t="s">
        <v>33</v>
      </c>
      <c r="D8" s="13"/>
      <c r="E8" s="17">
        <f>1.8*E6</f>
        <v>0</v>
      </c>
      <c r="F8" s="13" t="s">
        <v>33</v>
      </c>
      <c r="G8" s="13"/>
      <c r="H8" s="17">
        <f>1.8*H6</f>
        <v>0</v>
      </c>
      <c r="I8" s="15"/>
      <c r="J8" s="15"/>
      <c r="K8" s="15"/>
      <c r="L8" s="15"/>
    </row>
    <row r="9" spans="1:12" ht="12.75">
      <c r="A9" s="13" t="s">
        <v>32</v>
      </c>
      <c r="B9" s="13"/>
      <c r="C9" s="13" t="s">
        <v>34</v>
      </c>
      <c r="D9" s="13"/>
      <c r="E9" s="17">
        <f>2*E6</f>
        <v>0</v>
      </c>
      <c r="F9" s="13" t="s">
        <v>34</v>
      </c>
      <c r="G9" s="13"/>
      <c r="H9" s="17">
        <f>2*H6</f>
        <v>0</v>
      </c>
      <c r="I9" s="15"/>
      <c r="J9" s="15"/>
      <c r="K9" s="15"/>
      <c r="L9" s="15"/>
    </row>
    <row r="10" spans="1:12" ht="12.75">
      <c r="A10" s="13" t="s">
        <v>35</v>
      </c>
      <c r="B10" s="13"/>
      <c r="C10" s="13"/>
      <c r="D10" s="13"/>
      <c r="E10" s="17">
        <f>E6*2</f>
        <v>0</v>
      </c>
      <c r="F10" s="13"/>
      <c r="G10" s="13"/>
      <c r="H10" s="17">
        <f>H6*2</f>
        <v>0</v>
      </c>
      <c r="I10" s="15"/>
      <c r="J10" s="15"/>
      <c r="K10" s="15"/>
      <c r="L10" s="15"/>
    </row>
    <row r="11" spans="1:12" ht="12.75">
      <c r="A11" s="13" t="s">
        <v>36</v>
      </c>
      <c r="B11" s="13"/>
      <c r="C11" s="13" t="s">
        <v>37</v>
      </c>
      <c r="D11" s="13"/>
      <c r="E11" s="17">
        <f>E6*2.2</f>
        <v>0</v>
      </c>
      <c r="F11" s="13" t="s">
        <v>37</v>
      </c>
      <c r="G11" s="13"/>
      <c r="H11" s="17">
        <f>H6*2.2</f>
        <v>0</v>
      </c>
      <c r="I11" s="15"/>
      <c r="J11" s="15"/>
      <c r="K11" s="15"/>
      <c r="L11" s="15"/>
    </row>
    <row r="12" spans="1:12" ht="12.75">
      <c r="A12" s="13" t="s">
        <v>36</v>
      </c>
      <c r="B12" s="13"/>
      <c r="C12" s="13" t="s">
        <v>38</v>
      </c>
      <c r="D12" s="13"/>
      <c r="E12" s="17">
        <f>2.5*E6</f>
        <v>0</v>
      </c>
      <c r="F12" s="13" t="s">
        <v>38</v>
      </c>
      <c r="G12" s="13"/>
      <c r="H12" s="17">
        <f>2.5*H6</f>
        <v>0</v>
      </c>
      <c r="I12" s="15"/>
      <c r="J12" s="15"/>
      <c r="K12" s="15"/>
      <c r="L12" s="15"/>
    </row>
    <row r="13" spans="1:12" ht="12.75">
      <c r="A13" s="13" t="s">
        <v>39</v>
      </c>
      <c r="B13" s="13"/>
      <c r="C13" s="13"/>
      <c r="D13" s="13"/>
      <c r="E13" s="13"/>
      <c r="F13" s="13"/>
      <c r="G13" s="13"/>
      <c r="H13" s="13"/>
      <c r="I13" s="15"/>
      <c r="J13" s="15"/>
      <c r="K13" s="15"/>
      <c r="L13" s="15"/>
    </row>
    <row r="14" spans="1:12" ht="12.75">
      <c r="A14" s="13"/>
      <c r="B14" s="13"/>
      <c r="C14" s="13"/>
      <c r="D14" s="13"/>
      <c r="E14" s="13"/>
      <c r="F14" s="13"/>
      <c r="G14" s="13"/>
      <c r="H14" s="13"/>
      <c r="I14" s="15"/>
      <c r="J14" s="15"/>
      <c r="K14" s="15"/>
      <c r="L14" s="15"/>
    </row>
    <row r="15" spans="1:12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D10" sqref="D10"/>
    </sheetView>
  </sheetViews>
  <sheetFormatPr defaultColWidth="10.28125" defaultRowHeight="12.75"/>
  <cols>
    <col min="1" max="3" width="10.421875" style="0" customWidth="1"/>
    <col min="4" max="4" width="11.8515625" style="0" customWidth="1"/>
    <col min="5" max="5" width="9.00390625" style="0" customWidth="1"/>
    <col min="6" max="9" width="10.421875" style="0" customWidth="1"/>
    <col min="10" max="10" width="8.7109375" style="0" customWidth="1"/>
    <col min="11" max="12" width="10.421875" style="0" customWidth="1"/>
    <col min="13" max="13" width="11.57421875" style="0" customWidth="1"/>
    <col min="14" max="16384" width="10.421875" style="0" customWidth="1"/>
  </cols>
  <sheetData>
    <row r="1" spans="1:10" ht="12.7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19" t="s">
        <v>40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.75">
      <c r="A3" s="21" t="s">
        <v>41</v>
      </c>
      <c r="B3" s="20"/>
      <c r="C3" s="22">
        <v>90</v>
      </c>
      <c r="D3" s="21" t="s">
        <v>42</v>
      </c>
      <c r="E3" s="21" t="s">
        <v>43</v>
      </c>
      <c r="F3" s="20"/>
      <c r="G3" s="20"/>
      <c r="H3" s="20"/>
      <c r="I3" s="20"/>
      <c r="J3" s="20"/>
    </row>
    <row r="4" spans="1:10" ht="12.75">
      <c r="A4" s="21" t="s">
        <v>44</v>
      </c>
      <c r="B4" s="23"/>
      <c r="C4" s="22">
        <v>4</v>
      </c>
      <c r="D4" s="21" t="s">
        <v>45</v>
      </c>
      <c r="E4" s="24">
        <v>0.0984</v>
      </c>
      <c r="F4" s="21" t="s">
        <v>45</v>
      </c>
      <c r="G4" s="25"/>
      <c r="H4" s="20"/>
      <c r="I4" s="20"/>
      <c r="J4" s="20"/>
    </row>
    <row r="5" spans="1:10" ht="12.75">
      <c r="A5" s="23" t="s">
        <v>46</v>
      </c>
      <c r="B5" s="23"/>
      <c r="C5" s="26">
        <f>C4/2</f>
        <v>2</v>
      </c>
      <c r="D5" s="23" t="s">
        <v>47</v>
      </c>
      <c r="E5" s="22">
        <v>0.0984</v>
      </c>
      <c r="F5" s="21" t="s">
        <v>45</v>
      </c>
      <c r="G5" s="20"/>
      <c r="H5" s="20"/>
      <c r="I5" s="25"/>
      <c r="J5" s="25"/>
    </row>
    <row r="6" spans="1:10" ht="12.75">
      <c r="A6" s="18"/>
      <c r="B6" s="21" t="s">
        <v>48</v>
      </c>
      <c r="C6" s="23"/>
      <c r="D6" s="25"/>
      <c r="E6" s="22">
        <v>0.15625</v>
      </c>
      <c r="F6" s="21" t="s">
        <v>45</v>
      </c>
      <c r="G6" s="21" t="s">
        <v>49</v>
      </c>
      <c r="H6" s="20"/>
      <c r="I6" s="18"/>
      <c r="J6" s="26">
        <f>(E6^2)*0.7854</f>
        <v>0.019174804687499998</v>
      </c>
    </row>
    <row r="7" spans="1:10" ht="12.75">
      <c r="A7" s="21" t="s">
        <v>50</v>
      </c>
      <c r="B7" s="21"/>
      <c r="C7" s="20"/>
      <c r="D7" s="21"/>
      <c r="E7" s="22">
        <v>0.72</v>
      </c>
      <c r="F7" s="21" t="s">
        <v>45</v>
      </c>
      <c r="G7" s="20"/>
      <c r="H7" s="20"/>
      <c r="I7" s="20"/>
      <c r="J7" s="20"/>
    </row>
    <row r="8" spans="1:10" ht="12.75">
      <c r="A8" s="21" t="s">
        <v>51</v>
      </c>
      <c r="B8" s="20"/>
      <c r="C8" s="20"/>
      <c r="D8" s="21" t="s">
        <v>52</v>
      </c>
      <c r="E8" s="23"/>
      <c r="F8" s="25"/>
      <c r="G8" s="23"/>
      <c r="H8" s="20"/>
      <c r="I8" s="25"/>
      <c r="J8" s="25"/>
    </row>
    <row r="9" spans="1:10" ht="12.75">
      <c r="A9" s="22">
        <v>0.72</v>
      </c>
      <c r="B9" s="21" t="s">
        <v>45</v>
      </c>
      <c r="C9" s="20"/>
      <c r="D9" s="22">
        <v>0.72</v>
      </c>
      <c r="E9" s="21" t="s">
        <v>45</v>
      </c>
      <c r="F9" s="25"/>
      <c r="G9" s="25"/>
      <c r="H9" s="20"/>
      <c r="I9" s="25"/>
      <c r="J9" s="20"/>
    </row>
    <row r="10" spans="1:10" ht="12.75">
      <c r="A10" s="27" t="s">
        <v>53</v>
      </c>
      <c r="B10" s="28"/>
      <c r="C10" s="28"/>
      <c r="D10" s="28"/>
      <c r="E10" s="28"/>
      <c r="F10" s="29" t="s">
        <v>54</v>
      </c>
      <c r="G10" s="30"/>
      <c r="H10" s="30"/>
      <c r="I10" s="30"/>
      <c r="J10" s="30"/>
    </row>
    <row r="11" spans="1:10" ht="12.75">
      <c r="A11" s="27" t="s">
        <v>55</v>
      </c>
      <c r="B11" s="28"/>
      <c r="C11" s="28"/>
      <c r="D11" s="28"/>
      <c r="E11" s="28"/>
      <c r="F11" s="29" t="s">
        <v>56</v>
      </c>
      <c r="G11" s="30"/>
      <c r="H11" s="30"/>
      <c r="I11" s="30"/>
      <c r="J11" s="30"/>
    </row>
    <row r="12" spans="1:10" ht="12.75">
      <c r="A12" s="31"/>
      <c r="B12" s="32" t="s">
        <v>57</v>
      </c>
      <c r="C12" s="28"/>
      <c r="D12" s="28"/>
      <c r="E12" s="28"/>
      <c r="F12" s="33"/>
      <c r="G12" s="34" t="s">
        <v>57</v>
      </c>
      <c r="H12" s="30"/>
      <c r="I12" s="30"/>
      <c r="J12" s="30"/>
    </row>
    <row r="13" spans="1:10" ht="12.75">
      <c r="A13" s="31"/>
      <c r="B13" s="31"/>
      <c r="C13" s="32" t="s">
        <v>58</v>
      </c>
      <c r="D13" s="26">
        <f>(12500*E4*1)/C5</f>
        <v>615</v>
      </c>
      <c r="E13" s="32" t="s">
        <v>42</v>
      </c>
      <c r="F13" s="33"/>
      <c r="G13" s="33"/>
      <c r="H13" s="34" t="s">
        <v>58</v>
      </c>
      <c r="I13" s="26">
        <f>(4300*E4*1)/C5</f>
        <v>211.56</v>
      </c>
      <c r="J13" s="34" t="s">
        <v>42</v>
      </c>
    </row>
    <row r="14" spans="1:10" ht="12.75">
      <c r="A14" s="31"/>
      <c r="B14" s="31"/>
      <c r="C14" s="32" t="s">
        <v>59</v>
      </c>
      <c r="D14" s="26">
        <f>(12500*E4*0.8)/C5</f>
        <v>492</v>
      </c>
      <c r="E14" s="32" t="s">
        <v>42</v>
      </c>
      <c r="F14" s="33"/>
      <c r="G14" s="33"/>
      <c r="H14" s="34" t="s">
        <v>59</v>
      </c>
      <c r="I14" s="26">
        <f>(4300*E4*0.8)/C5</f>
        <v>169.24800000000002</v>
      </c>
      <c r="J14" s="34" t="s">
        <v>42</v>
      </c>
    </row>
    <row r="15" spans="1:10" ht="12.75">
      <c r="A15" s="27" t="s">
        <v>60</v>
      </c>
      <c r="B15" s="28"/>
      <c r="C15" s="28"/>
      <c r="D15" s="26"/>
      <c r="E15" s="28"/>
      <c r="F15" s="29" t="s">
        <v>60</v>
      </c>
      <c r="G15" s="30"/>
      <c r="H15" s="30"/>
      <c r="I15" s="26"/>
      <c r="J15" s="30"/>
    </row>
    <row r="16" spans="1:10" ht="12.75">
      <c r="A16" s="32" t="s">
        <v>61</v>
      </c>
      <c r="B16" s="28"/>
      <c r="C16" s="28"/>
      <c r="D16" s="26">
        <f>(((E5^2)*12500*2.1)/(E7^2))</f>
        <v>490.2916666666667</v>
      </c>
      <c r="E16" s="32" t="s">
        <v>42</v>
      </c>
      <c r="F16" s="34" t="s">
        <v>61</v>
      </c>
      <c r="G16" s="30"/>
      <c r="H16" s="30"/>
      <c r="I16" s="26">
        <f>(((E5^2)*4300*2.1)/(E7^2))</f>
        <v>168.66033333333337</v>
      </c>
      <c r="J16" s="34" t="s">
        <v>42</v>
      </c>
    </row>
    <row r="17" spans="1:10" ht="12.75">
      <c r="A17" s="32" t="s">
        <v>62</v>
      </c>
      <c r="B17" s="28"/>
      <c r="C17" s="28"/>
      <c r="D17" s="26">
        <f>(((E5^2)*12500*2.8)/(E7^2))</f>
        <v>653.7222222222222</v>
      </c>
      <c r="E17" s="32" t="s">
        <v>42</v>
      </c>
      <c r="F17" s="34" t="s">
        <v>62</v>
      </c>
      <c r="G17" s="30"/>
      <c r="H17" s="30"/>
      <c r="I17" s="26">
        <f>(((E5^2)*4300*2.8)/(E7^2))</f>
        <v>224.88044444444444</v>
      </c>
      <c r="J17" s="34" t="s">
        <v>42</v>
      </c>
    </row>
    <row r="18" spans="1:10" ht="12.75">
      <c r="A18" s="32" t="s">
        <v>63</v>
      </c>
      <c r="B18" s="28"/>
      <c r="C18" s="28"/>
      <c r="D18" s="26">
        <f>((J6*12500)/(D9*A9))</f>
        <v>462.3554371021412</v>
      </c>
      <c r="E18" s="32" t="s">
        <v>42</v>
      </c>
      <c r="F18" s="34" t="s">
        <v>63</v>
      </c>
      <c r="G18" s="30"/>
      <c r="H18" s="30"/>
      <c r="I18" s="26">
        <f>((J6*4300)/(D9*A9))</f>
        <v>159.05027036313655</v>
      </c>
      <c r="J18" s="34" t="s">
        <v>42</v>
      </c>
    </row>
    <row r="19" spans="1:10" ht="12.75">
      <c r="A19" s="27" t="s">
        <v>64</v>
      </c>
      <c r="B19" s="28"/>
      <c r="C19" s="28"/>
      <c r="D19" s="26"/>
      <c r="E19" s="28"/>
      <c r="F19" s="29" t="s">
        <v>65</v>
      </c>
      <c r="G19" s="30"/>
      <c r="H19" s="30"/>
      <c r="I19" s="26"/>
      <c r="J19" s="30"/>
    </row>
    <row r="20" spans="1:10" ht="12.75">
      <c r="A20" s="32" t="s">
        <v>66</v>
      </c>
      <c r="B20" s="28"/>
      <c r="C20" s="28"/>
      <c r="D20" s="26">
        <f>((D13*4)/C3)</f>
        <v>27.333333333333332</v>
      </c>
      <c r="E20" s="32" t="s">
        <v>67</v>
      </c>
      <c r="F20" s="34" t="s">
        <v>66</v>
      </c>
      <c r="G20" s="30"/>
      <c r="H20" s="30"/>
      <c r="I20" s="26">
        <f>((I13*5)/C3)</f>
        <v>11.753333333333332</v>
      </c>
      <c r="J20" s="34" t="s">
        <v>67</v>
      </c>
    </row>
    <row r="21" spans="1:10" ht="12.75">
      <c r="A21" s="32" t="s">
        <v>68</v>
      </c>
      <c r="B21" s="28"/>
      <c r="C21" s="28"/>
      <c r="D21" s="26">
        <f>((D14*4)/C3)</f>
        <v>21.866666666666667</v>
      </c>
      <c r="E21" s="32" t="s">
        <v>67</v>
      </c>
      <c r="F21" s="34" t="s">
        <v>68</v>
      </c>
      <c r="G21" s="30"/>
      <c r="H21" s="30"/>
      <c r="I21" s="26">
        <f>((I14*5)/C3)</f>
        <v>9.402666666666669</v>
      </c>
      <c r="J21" s="34" t="s">
        <v>67</v>
      </c>
    </row>
    <row r="22" spans="1:10" ht="12.75">
      <c r="A22" s="32" t="s">
        <v>69</v>
      </c>
      <c r="B22" s="28"/>
      <c r="C22" s="28"/>
      <c r="D22" s="26">
        <f>((D16*4)/C3)</f>
        <v>21.79074074074074</v>
      </c>
      <c r="E22" s="32" t="s">
        <v>67</v>
      </c>
      <c r="F22" s="34" t="s">
        <v>69</v>
      </c>
      <c r="G22" s="30"/>
      <c r="H22" s="30"/>
      <c r="I22" s="26">
        <f>((I16*5)/C3)</f>
        <v>9.37001851851852</v>
      </c>
      <c r="J22" s="34" t="s">
        <v>67</v>
      </c>
    </row>
    <row r="23" spans="1:10" ht="12.75">
      <c r="A23" s="32" t="s">
        <v>70</v>
      </c>
      <c r="B23" s="28"/>
      <c r="C23" s="28"/>
      <c r="D23" s="26">
        <f>((D17*4)/C3)</f>
        <v>29.054320987654318</v>
      </c>
      <c r="E23" s="32" t="s">
        <v>67</v>
      </c>
      <c r="F23" s="34" t="s">
        <v>70</v>
      </c>
      <c r="G23" s="30"/>
      <c r="H23" s="30"/>
      <c r="I23" s="26">
        <f>((I17*5)/C3)</f>
        <v>12.493358024691359</v>
      </c>
      <c r="J23" s="34" t="s">
        <v>67</v>
      </c>
    </row>
    <row r="24" spans="1:10" ht="12.75">
      <c r="A24" s="32" t="s">
        <v>71</v>
      </c>
      <c r="B24" s="28"/>
      <c r="C24" s="28"/>
      <c r="D24" s="26">
        <f>((D18*4)/C3)</f>
        <v>20.54913053787294</v>
      </c>
      <c r="E24" s="32" t="s">
        <v>67</v>
      </c>
      <c r="F24" s="34" t="s">
        <v>71</v>
      </c>
      <c r="G24" s="30"/>
      <c r="H24" s="30"/>
      <c r="I24" s="26">
        <f>((I18*5)/C3)</f>
        <v>8.836126131285363</v>
      </c>
      <c r="J24" s="34" t="s">
        <v>67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C3" sqref="C3"/>
    </sheetView>
  </sheetViews>
  <sheetFormatPr defaultColWidth="10.28125" defaultRowHeight="12.75"/>
  <cols>
    <col min="1" max="1" width="7.7109375" style="0" customWidth="1"/>
    <col min="2" max="2" width="6.421875" style="0" customWidth="1"/>
    <col min="3" max="3" width="7.8515625" style="0" customWidth="1"/>
    <col min="4" max="4" width="10.421875" style="0" customWidth="1"/>
    <col min="5" max="5" width="9.140625" style="0" customWidth="1"/>
    <col min="6" max="6" width="14.00390625" style="0" customWidth="1"/>
    <col min="7" max="7" width="15.00390625" style="0" customWidth="1"/>
    <col min="8" max="8" width="8.57421875" style="0" customWidth="1"/>
    <col min="9" max="16384" width="10.421875" style="0" customWidth="1"/>
  </cols>
  <sheetData>
    <row r="1" spans="1:11" ht="12.75">
      <c r="A1" s="19" t="s">
        <v>72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0" ht="12.75">
      <c r="A3" s="35" t="s">
        <v>73</v>
      </c>
      <c r="B3" s="35"/>
      <c r="C3" s="36"/>
      <c r="D3" s="36"/>
      <c r="E3" s="18"/>
      <c r="F3" s="35" t="s">
        <v>74</v>
      </c>
      <c r="G3" s="37"/>
      <c r="H3" s="35" t="s">
        <v>75</v>
      </c>
      <c r="I3" s="38"/>
      <c r="J3" s="38"/>
    </row>
    <row r="4" spans="1:10" ht="12.75">
      <c r="A4" s="26"/>
      <c r="B4" s="26"/>
      <c r="C4" s="26"/>
      <c r="D4" s="26"/>
      <c r="E4" s="20"/>
      <c r="F4" s="20"/>
      <c r="G4" s="20"/>
      <c r="H4" s="20"/>
      <c r="I4" s="21" t="s">
        <v>76</v>
      </c>
      <c r="J4" s="20"/>
    </row>
    <row r="5" spans="1:10" ht="12.75">
      <c r="A5" s="39" t="s">
        <v>77</v>
      </c>
      <c r="B5" s="39" t="s">
        <v>78</v>
      </c>
      <c r="C5" s="40" t="e">
        <f>(5729.5645/C3)</f>
        <v>#DIV/0!</v>
      </c>
      <c r="D5" s="39" t="s">
        <v>79</v>
      </c>
      <c r="E5" s="18"/>
      <c r="F5" s="41" t="s">
        <v>80</v>
      </c>
      <c r="G5" s="30" t="e">
        <f>(5729.5645/G3)</f>
        <v>#DIV/0!</v>
      </c>
      <c r="H5" s="34" t="s">
        <v>81</v>
      </c>
      <c r="I5" s="30" t="e">
        <f>(G3-(SQRT((G3^2)-((100/2)^2))))*12</f>
        <v>#VALUE!</v>
      </c>
      <c r="J5" s="34" t="s">
        <v>45</v>
      </c>
    </row>
    <row r="6" spans="1:10" ht="12.75">
      <c r="A6" s="26"/>
      <c r="B6" s="26"/>
      <c r="C6" s="26"/>
      <c r="D6" s="26"/>
      <c r="E6" s="20"/>
      <c r="F6" s="20"/>
      <c r="G6" s="20"/>
      <c r="H6" s="20"/>
      <c r="I6" s="20"/>
      <c r="J6" s="20"/>
    </row>
    <row r="7" spans="1:10" ht="12.75">
      <c r="A7" s="39" t="s">
        <v>82</v>
      </c>
      <c r="B7" s="39" t="s">
        <v>78</v>
      </c>
      <c r="C7" s="40" t="e">
        <f>(716.19556/C3)</f>
        <v>#DIV/0!</v>
      </c>
      <c r="D7" s="39" t="s">
        <v>79</v>
      </c>
      <c r="E7" s="18"/>
      <c r="F7" s="41" t="s">
        <v>80</v>
      </c>
      <c r="G7" s="30" t="e">
        <f>(716.19556/G3)</f>
        <v>#DIV/0!</v>
      </c>
      <c r="H7" s="34" t="s">
        <v>81</v>
      </c>
      <c r="I7" s="30" t="e">
        <f>(G3-(SQRT((G3^2)-((12.5/2)^2))))*12</f>
        <v>#VALUE!</v>
      </c>
      <c r="J7" s="34" t="s">
        <v>45</v>
      </c>
    </row>
    <row r="8" spans="1:10" ht="12.7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/>
      <c r="B9" s="20"/>
      <c r="C9" s="20"/>
      <c r="D9" s="20"/>
      <c r="E9" s="20"/>
      <c r="F9" s="34" t="s">
        <v>83</v>
      </c>
      <c r="G9" s="42"/>
      <c r="H9" s="42"/>
      <c r="I9" s="30" t="e">
        <f>(G3-(SQRT((G3^2)-((10/2)^2))))*12</f>
        <v>#VALUE!</v>
      </c>
      <c r="J9" s="34" t="s">
        <v>45</v>
      </c>
    </row>
    <row r="10" spans="1:11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3" ht="12.75">
      <c r="A11" s="21" t="s">
        <v>84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43"/>
      <c r="M11" s="43"/>
    </row>
    <row r="12" spans="1:13" ht="12.75">
      <c r="A12" s="21" t="s">
        <v>85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43"/>
      <c r="M12" s="43"/>
    </row>
    <row r="13" spans="1:13" ht="12.75">
      <c r="A13" s="21" t="s">
        <v>86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43"/>
      <c r="M13" s="43"/>
    </row>
    <row r="14" spans="1:13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3"/>
      <c r="M14" s="43"/>
    </row>
    <row r="15" spans="1:13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3"/>
      <c r="M15" s="43"/>
    </row>
    <row r="16" spans="1:13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3"/>
      <c r="M16" s="43"/>
    </row>
    <row r="17" spans="1:13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3"/>
      <c r="M17" s="43"/>
    </row>
    <row r="18" spans="1:13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3"/>
      <c r="M18" s="43"/>
    </row>
    <row r="19" spans="1:13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3"/>
      <c r="M19" s="43"/>
    </row>
    <row r="20" spans="1:13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3"/>
      <c r="M20" s="43"/>
    </row>
    <row r="21" spans="1:13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3"/>
      <c r="M21" s="43"/>
    </row>
    <row r="22" spans="1:13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3"/>
      <c r="M22" s="43"/>
    </row>
    <row r="23" spans="1:13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3"/>
      <c r="M23" s="43"/>
    </row>
    <row r="24" spans="1:14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3"/>
      <c r="N24" s="4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D2" sqref="D2"/>
    </sheetView>
  </sheetViews>
  <sheetFormatPr defaultColWidth="10.28125" defaultRowHeight="12.75"/>
  <cols>
    <col min="1" max="1" width="18.57421875" style="0" customWidth="1"/>
    <col min="2" max="2" width="14.00390625" style="0" customWidth="1"/>
    <col min="3" max="3" width="12.28125" style="0" customWidth="1"/>
    <col min="4" max="4" width="11.140625" style="0" customWidth="1"/>
    <col min="5" max="5" width="8.00390625" style="0" customWidth="1"/>
    <col min="6" max="6" width="10.421875" style="0" customWidth="1"/>
    <col min="7" max="7" width="8.7109375" style="0" customWidth="1"/>
    <col min="8" max="8" width="10.421875" style="0" customWidth="1"/>
    <col min="9" max="9" width="7.140625" style="0" customWidth="1"/>
    <col min="10" max="16384" width="10.421875" style="0" customWidth="1"/>
  </cols>
  <sheetData>
    <row r="1" spans="1:9" s="47" customFormat="1" ht="12.75">
      <c r="A1" s="45" t="s">
        <v>87</v>
      </c>
      <c r="B1" s="45" t="s">
        <v>88</v>
      </c>
      <c r="C1" s="45" t="s">
        <v>89</v>
      </c>
      <c r="D1" s="45" t="s">
        <v>90</v>
      </c>
      <c r="E1" s="46"/>
      <c r="F1" s="46"/>
      <c r="G1" s="46"/>
      <c r="H1" s="46"/>
      <c r="I1" s="46"/>
    </row>
    <row r="2" spans="1:9" ht="12.75">
      <c r="A2" s="36"/>
      <c r="B2" s="36"/>
      <c r="C2" s="36"/>
      <c r="D2" s="36"/>
      <c r="E2" s="21" t="s">
        <v>91</v>
      </c>
      <c r="F2" s="20"/>
      <c r="G2" s="20"/>
      <c r="H2" s="20"/>
      <c r="I2" s="20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spans="1:9" ht="12.75">
      <c r="A4" s="39" t="s">
        <v>92</v>
      </c>
      <c r="B4" s="48" t="e">
        <f>TRUNC((0.85*A2*(B2*B2)*C2)/D2)</f>
        <v>#DIV/0!</v>
      </c>
      <c r="C4" s="49" t="s">
        <v>93</v>
      </c>
      <c r="D4" s="20"/>
      <c r="E4" s="20"/>
      <c r="F4" s="20"/>
      <c r="G4" s="20"/>
      <c r="H4" s="20"/>
      <c r="I4" s="20"/>
    </row>
    <row r="5" spans="1:9" ht="12.75">
      <c r="A5" s="21" t="s">
        <v>94</v>
      </c>
      <c r="B5" s="23"/>
      <c r="C5" s="20"/>
      <c r="D5" s="20"/>
      <c r="E5" s="20"/>
      <c r="F5" s="20"/>
      <c r="G5" s="20"/>
      <c r="H5" s="20"/>
      <c r="I5" s="20"/>
    </row>
    <row r="6" spans="1:9" ht="12.75">
      <c r="A6" s="50" t="s">
        <v>95</v>
      </c>
      <c r="B6" s="51" t="e">
        <f>TRUNC((1.7*A2*(B2*B2)*C2)/D2)</f>
        <v>#DIV/0!</v>
      </c>
      <c r="C6" s="52" t="s">
        <v>93</v>
      </c>
      <c r="D6" s="20"/>
      <c r="E6" s="20"/>
      <c r="F6" s="20"/>
      <c r="G6" s="20"/>
      <c r="H6" s="20"/>
      <c r="I6" s="20"/>
    </row>
    <row r="7" spans="1:9" ht="12.75">
      <c r="A7" s="20"/>
      <c r="B7" s="20"/>
      <c r="C7" s="20"/>
      <c r="D7" s="20"/>
      <c r="E7" s="20"/>
      <c r="F7" s="20"/>
      <c r="G7" s="20"/>
      <c r="H7" s="20"/>
      <c r="I7" s="20"/>
    </row>
    <row r="8" spans="1:9" ht="12.75">
      <c r="A8" s="19" t="s">
        <v>96</v>
      </c>
      <c r="B8" s="23"/>
      <c r="C8" s="23"/>
      <c r="D8" s="20"/>
      <c r="E8" s="20"/>
      <c r="F8" s="20"/>
      <c r="G8" s="20"/>
      <c r="H8" s="20"/>
      <c r="I8" s="20"/>
    </row>
    <row r="9" spans="1:9" ht="12.75">
      <c r="A9" s="39" t="s">
        <v>97</v>
      </c>
      <c r="B9" s="48" t="e">
        <f>(B4*4)</f>
        <v>#DIV/0!</v>
      </c>
      <c r="C9" s="49" t="s">
        <v>93</v>
      </c>
      <c r="D9" s="20"/>
      <c r="E9" s="20"/>
      <c r="F9" s="20"/>
      <c r="G9" s="20"/>
      <c r="H9" s="20"/>
      <c r="I9" s="20"/>
    </row>
    <row r="10" spans="1:9" ht="12.75">
      <c r="A10" s="50" t="s">
        <v>98</v>
      </c>
      <c r="B10" s="51" t="e">
        <f>(B6*4)</f>
        <v>#DIV/0!</v>
      </c>
      <c r="C10" s="52" t="s">
        <v>93</v>
      </c>
      <c r="D10" s="53" t="s">
        <v>99</v>
      </c>
      <c r="E10" s="54"/>
      <c r="F10" s="54"/>
      <c r="G10" s="54"/>
      <c r="H10" s="20"/>
      <c r="I10" s="20"/>
    </row>
    <row r="11" spans="1:9" ht="12.75">
      <c r="A11" s="55" t="s">
        <v>100</v>
      </c>
      <c r="B11" s="30"/>
      <c r="C11" s="30"/>
      <c r="D11" s="20"/>
      <c r="E11" s="20"/>
      <c r="F11" s="20"/>
      <c r="G11" s="20"/>
      <c r="H11" s="20"/>
      <c r="I11" s="20"/>
    </row>
    <row r="12" spans="1:9" ht="12.75">
      <c r="A12" s="30"/>
      <c r="B12" s="35"/>
      <c r="C12" s="37" t="s">
        <v>93</v>
      </c>
      <c r="D12" s="20"/>
      <c r="E12" s="20"/>
      <c r="F12" s="20"/>
      <c r="G12" s="20"/>
      <c r="H12" s="20"/>
      <c r="I12" s="20"/>
    </row>
    <row r="13" spans="1:9" ht="12.75">
      <c r="A13" s="19" t="s">
        <v>101</v>
      </c>
      <c r="B13" s="23"/>
      <c r="C13" s="23"/>
      <c r="D13" s="23"/>
      <c r="E13" s="23"/>
      <c r="F13" s="23"/>
      <c r="G13" s="20"/>
      <c r="H13" s="20"/>
      <c r="I13" s="20"/>
    </row>
    <row r="14" spans="1:9" ht="12.75">
      <c r="A14" s="21" t="s">
        <v>102</v>
      </c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56"/>
      <c r="B15" s="56" t="s">
        <v>103</v>
      </c>
      <c r="C15" s="56" t="s">
        <v>104</v>
      </c>
      <c r="D15" s="56" t="s">
        <v>105</v>
      </c>
      <c r="E15" s="56" t="s">
        <v>106</v>
      </c>
      <c r="F15" s="56" t="s">
        <v>107</v>
      </c>
      <c r="G15" s="56" t="s">
        <v>108</v>
      </c>
      <c r="H15" s="56" t="s">
        <v>109</v>
      </c>
      <c r="I15" s="21" t="s">
        <v>110</v>
      </c>
    </row>
    <row r="16" spans="1:9" ht="12.75">
      <c r="A16" s="57" t="s">
        <v>111</v>
      </c>
      <c r="B16" s="58" t="e">
        <f>(B4/7.5)</f>
        <v>#DIV/0!</v>
      </c>
      <c r="C16" s="58" t="e">
        <f>(B16*0.44)</f>
        <v>#DIV/0!</v>
      </c>
      <c r="D16" s="58" t="e">
        <f>(B16*0.26)</f>
        <v>#DIV/0!</v>
      </c>
      <c r="E16" s="58" t="e">
        <f>(B16*0.18)</f>
        <v>#DIV/0!</v>
      </c>
      <c r="F16" s="58" t="e">
        <f>(B16*0.13)</f>
        <v>#DIV/0!</v>
      </c>
      <c r="G16" s="58" t="e">
        <f>(B16*0.1)</f>
        <v>#DIV/0!</v>
      </c>
      <c r="H16" s="58" t="e">
        <f>(B16*0.08)</f>
        <v>#DIV/0!</v>
      </c>
      <c r="I16" s="59" t="s">
        <v>112</v>
      </c>
    </row>
    <row r="17" spans="1:9" s="62" customFormat="1" ht="12.75">
      <c r="A17" s="60" t="s">
        <v>113</v>
      </c>
      <c r="B17" s="61" t="e">
        <f>TRUNC((B16*2000)/900)</f>
        <v>#DIV/0!</v>
      </c>
      <c r="C17" s="61" t="e">
        <f>TRUNC((C16*2000)/900)</f>
        <v>#DIV/0!</v>
      </c>
      <c r="D17" s="61" t="e">
        <f>TRUNC((D16*2000)/900)</f>
        <v>#DIV/0!</v>
      </c>
      <c r="E17" s="61" t="e">
        <f>TRUNC((E16*2000)/900)</f>
        <v>#DIV/0!</v>
      </c>
      <c r="F17" s="61" t="e">
        <f>TRUNC((F16*2000)/900)</f>
        <v>#DIV/0!</v>
      </c>
      <c r="G17" s="61" t="e">
        <f>TRUNC((G16*2000)/900)</f>
        <v>#DIV/0!</v>
      </c>
      <c r="H17" s="61" t="e">
        <f>TRUNC((H16*2000)/900)</f>
        <v>#DIV/0!</v>
      </c>
      <c r="I17" s="60" t="s">
        <v>114</v>
      </c>
    </row>
    <row r="18" spans="1:9" ht="12.75">
      <c r="A18" s="63" t="s">
        <v>115</v>
      </c>
      <c r="B18" s="64" t="e">
        <f>B6/7.5</f>
        <v>#DIV/0!</v>
      </c>
      <c r="C18" s="64" t="e">
        <f>(B18*0.44)</f>
        <v>#DIV/0!</v>
      </c>
      <c r="D18" s="64" t="e">
        <f>(B18*0.26)</f>
        <v>#DIV/0!</v>
      </c>
      <c r="E18" s="64" t="e">
        <f>(B18*0.18)</f>
        <v>#DIV/0!</v>
      </c>
      <c r="F18" s="64" t="e">
        <f>(B18*0.13)</f>
        <v>#DIV/0!</v>
      </c>
      <c r="G18" s="64" t="e">
        <f>(B18*0.1)</f>
        <v>#DIV/0!</v>
      </c>
      <c r="H18" s="64" t="e">
        <f>(B18*0.08)</f>
        <v>#DIV/0!</v>
      </c>
      <c r="I18" s="65" t="s">
        <v>112</v>
      </c>
    </row>
    <row r="19" spans="1:9" ht="12.75">
      <c r="A19" s="50" t="s">
        <v>113</v>
      </c>
      <c r="B19" s="66" t="e">
        <f>TRUNC((B18*2000)/900)</f>
        <v>#DIV/0!</v>
      </c>
      <c r="C19" s="66" t="e">
        <f>TRUNC((C18*2000)/900)</f>
        <v>#DIV/0!</v>
      </c>
      <c r="D19" s="66" t="e">
        <f>TRUNC((D18*2000)/900)</f>
        <v>#DIV/0!</v>
      </c>
      <c r="E19" s="66" t="e">
        <f>TRUNC((E18*2000)/900)</f>
        <v>#DIV/0!</v>
      </c>
      <c r="F19" s="66" t="e">
        <f>TRUNC((F18*2000)/900)</f>
        <v>#DIV/0!</v>
      </c>
      <c r="G19" s="66" t="e">
        <f>TRUNC((G18*2000)/900)</f>
        <v>#DIV/0!</v>
      </c>
      <c r="H19" s="66" t="e">
        <f>TRUNC((H18*2000)/900)</f>
        <v>#DIV/0!</v>
      </c>
      <c r="I19" s="52" t="s">
        <v>114</v>
      </c>
    </row>
    <row r="20" spans="1:9" ht="12.75">
      <c r="A20" s="30" t="s">
        <v>116</v>
      </c>
      <c r="B20" s="67">
        <f>TRUNC(B12/7.5)/4</f>
        <v>0</v>
      </c>
      <c r="C20" s="67">
        <f>(B20*0.44)</f>
        <v>0</v>
      </c>
      <c r="D20" s="67">
        <f>(B20*0.26)</f>
        <v>0</v>
      </c>
      <c r="E20" s="67">
        <f>(B20*0.18)</f>
        <v>0</v>
      </c>
      <c r="F20" s="67">
        <f>(B20*0.13)</f>
        <v>0</v>
      </c>
      <c r="G20" s="67">
        <f>(B20*0.1)</f>
        <v>0</v>
      </c>
      <c r="H20" s="67">
        <f>(B20*0.08)</f>
        <v>0</v>
      </c>
      <c r="I20" s="68" t="s">
        <v>112</v>
      </c>
    </row>
    <row r="21" spans="1:9" s="69" customFormat="1" ht="12.75">
      <c r="A21" s="41" t="s">
        <v>117</v>
      </c>
      <c r="B21" s="41">
        <f>TRUNC((B20*2000)/900)</f>
        <v>0</v>
      </c>
      <c r="C21" s="41">
        <f>TRUNC((C20*2000)/900)</f>
        <v>0</v>
      </c>
      <c r="D21" s="41">
        <f>TRUNC((D20*2000)/900)</f>
        <v>0</v>
      </c>
      <c r="E21" s="41">
        <f>TRUNC((E20*2000)/900)</f>
        <v>0</v>
      </c>
      <c r="F21" s="41">
        <f>TRUNC((F20*2000)/900)</f>
        <v>0</v>
      </c>
      <c r="G21" s="41">
        <f>TRUNC((G20*2000)/900)</f>
        <v>0</v>
      </c>
      <c r="H21" s="41">
        <f>TRUNC((H20*2000)/900)</f>
        <v>0</v>
      </c>
      <c r="I21" s="68" t="s">
        <v>114</v>
      </c>
    </row>
    <row r="22" spans="1:9" ht="12.75">
      <c r="A22" s="70" t="s">
        <v>118</v>
      </c>
      <c r="B22" s="20"/>
      <c r="C22" s="20"/>
      <c r="D22" s="20"/>
      <c r="E22" s="20"/>
      <c r="F22" s="20"/>
      <c r="G22" s="20"/>
      <c r="H22" s="20"/>
      <c r="I22" s="20"/>
    </row>
    <row r="23" spans="1:9" ht="12.75">
      <c r="A23" s="71"/>
      <c r="B23" s="71"/>
      <c r="C23" s="71"/>
      <c r="D23" s="71"/>
      <c r="E23" s="71"/>
      <c r="F23" s="71"/>
      <c r="G23" s="71"/>
      <c r="H23" s="71"/>
      <c r="I23" s="71"/>
    </row>
    <row r="24" spans="1:9" ht="12.75">
      <c r="A24" s="71"/>
      <c r="B24" s="71"/>
      <c r="C24" s="71"/>
      <c r="D24" s="71"/>
      <c r="E24" s="71"/>
      <c r="F24" s="71"/>
      <c r="G24" s="71"/>
      <c r="H24" s="71"/>
      <c r="I24" s="71"/>
    </row>
    <row r="25" spans="1:9" ht="12.75">
      <c r="A25" s="71"/>
      <c r="B25" s="71"/>
      <c r="C25" s="71"/>
      <c r="D25" s="71"/>
      <c r="E25" s="71"/>
      <c r="F25" s="71"/>
      <c r="G25" s="71"/>
      <c r="H25" s="71"/>
      <c r="I25" s="7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Baguley</cp:lastModifiedBy>
  <dcterms:modified xsi:type="dcterms:W3CDTF">2019-07-08T12:23:15Z</dcterms:modified>
  <cp:category/>
  <cp:version/>
  <cp:contentType/>
  <cp:contentStatus/>
  <cp:revision>3</cp:revision>
</cp:coreProperties>
</file>